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2 кв. 2020  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9" l="1"/>
  <c r="J108" i="19" l="1"/>
  <c r="J107" i="19"/>
  <c r="J106" i="19"/>
  <c r="J105" i="19"/>
  <c r="J104" i="19"/>
  <c r="J103" i="19"/>
  <c r="J102" i="19"/>
  <c r="J101" i="19"/>
  <c r="J99" i="19"/>
  <c r="J98" i="19"/>
  <c r="J96" i="19"/>
  <c r="J95" i="19"/>
  <c r="J94" i="19"/>
  <c r="J93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D86" i="19" l="1"/>
  <c r="D77" i="19"/>
  <c r="D108" i="19"/>
  <c r="D107" i="19"/>
  <c r="D106" i="19"/>
  <c r="D105" i="19"/>
  <c r="D104" i="19"/>
  <c r="D103" i="19"/>
  <c r="D102" i="19"/>
  <c r="D101" i="19"/>
  <c r="D99" i="19"/>
  <c r="D98" i="19"/>
  <c r="D96" i="19"/>
  <c r="D95" i="19"/>
  <c r="D94" i="19"/>
  <c r="D93" i="19"/>
  <c r="D91" i="19"/>
  <c r="D90" i="19"/>
  <c r="D89" i="19"/>
  <c r="D88" i="19"/>
  <c r="D87" i="19"/>
  <c r="D85" i="19" l="1"/>
  <c r="D84" i="19"/>
  <c r="D83" i="19"/>
  <c r="D82" i="19"/>
  <c r="D81" i="19"/>
  <c r="D80" i="19"/>
  <c r="D79" i="19"/>
  <c r="D78" i="19" l="1"/>
  <c r="D76" i="19"/>
  <c r="D75" i="19"/>
  <c r="D74" i="19"/>
  <c r="J72" i="19" l="1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D58" i="19"/>
  <c r="D67" i="19"/>
  <c r="D61" i="19"/>
  <c r="D55" i="19"/>
  <c r="D72" i="19"/>
  <c r="D71" i="19"/>
  <c r="D70" i="19"/>
  <c r="D60" i="19"/>
  <c r="D69" i="19"/>
  <c r="D68" i="19"/>
  <c r="D62" i="19"/>
  <c r="D66" i="19"/>
  <c r="D65" i="19"/>
  <c r="D64" i="19"/>
  <c r="D63" i="19"/>
  <c r="D59" i="19"/>
  <c r="D57" i="19"/>
  <c r="D56" i="19"/>
  <c r="D47" i="19"/>
  <c r="D54" i="19"/>
  <c r="D53" i="19"/>
  <c r="D52" i="19"/>
  <c r="D51" i="19"/>
  <c r="D50" i="19"/>
  <c r="D49" i="19"/>
  <c r="D48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D23" i="19"/>
  <c r="D45" i="19"/>
  <c r="D44" i="19"/>
  <c r="D43" i="19"/>
  <c r="D42" i="19"/>
  <c r="D41" i="19"/>
  <c r="D40" i="19"/>
  <c r="D21" i="19"/>
  <c r="J73" i="19" l="1"/>
  <c r="D39" i="19" l="1"/>
  <c r="D38" i="19"/>
  <c r="D37" i="19"/>
  <c r="D36" i="19" l="1"/>
  <c r="D35" i="19"/>
  <c r="D34" i="19"/>
  <c r="D33" i="19"/>
  <c r="D32" i="19"/>
  <c r="D31" i="19"/>
  <c r="D30" i="19"/>
  <c r="D29" i="19"/>
  <c r="D27" i="19"/>
  <c r="D28" i="19"/>
  <c r="D24" i="19"/>
  <c r="D26" i="19"/>
  <c r="D25" i="19"/>
  <c r="D22" i="19"/>
  <c r="D20" i="19" l="1"/>
  <c r="D19" i="19"/>
  <c r="D18" i="19"/>
  <c r="D17" i="19"/>
  <c r="D73" i="19" l="1"/>
  <c r="D46" i="19"/>
  <c r="J109" i="19" l="1"/>
  <c r="J46" i="19"/>
</calcChain>
</file>

<file path=xl/sharedStrings.xml><?xml version="1.0" encoding="utf-8"?>
<sst xmlns="http://schemas.openxmlformats.org/spreadsheetml/2006/main" count="227" uniqueCount="124">
  <si>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</si>
  <si>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</si>
  <si>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</t>
  </si>
  <si>
    <t>Всього отримано благодій- них пожертв, тис. грн.</t>
  </si>
  <si>
    <t>Використання закладом охорони здоров'я благодійних пожертв, отриманих у грошовій та натуральній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</si>
  <si>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</si>
  <si>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</si>
  <si>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</si>
  <si>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</si>
  <si>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</si>
  <si>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</si>
  <si>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В натуральній формі (товари і послуги), тис. грн.</t>
  </si>
  <si>
    <t>Електротовари</t>
  </si>
  <si>
    <t>Всього:</t>
  </si>
  <si>
    <t>Додаток</t>
  </si>
  <si>
    <t>до наказу Міністерства охорони здоров'я України</t>
  </si>
  <si>
    <t xml:space="preserve">_25.07.2017 №  848 </t>
  </si>
  <si>
    <t>ІНФОРМАЦІЯ</t>
  </si>
  <si>
    <t xml:space="preserve">ПРО НАДХОДЖЕННЯ І ВИКОРИСТАННЯ БЛАГОДІЙНИХ ПОЖЕРТВ </t>
  </si>
  <si>
    <t>ВІД ФІЗИЧНИХ ТА ЮРИДИЧНИХ ОСІБ</t>
  </si>
  <si>
    <t>Рентген плівка</t>
  </si>
  <si>
    <t>Всього :</t>
  </si>
  <si>
    <t>Сантехнічні матеріали</t>
  </si>
  <si>
    <t>Медикаменти</t>
  </si>
  <si>
    <t>В.А. Кернос</t>
  </si>
  <si>
    <t>Заступник директора з ЕП</t>
  </si>
  <si>
    <t>Поштове відправлення</t>
  </si>
  <si>
    <t>Господарські товари</t>
  </si>
  <si>
    <t>Приватна особа</t>
  </si>
  <si>
    <t>БФ "Корпорація монстрів"</t>
  </si>
  <si>
    <t>Реактиви для КДЛ КДЦ</t>
  </si>
  <si>
    <t>Будівельні матеріали</t>
  </si>
  <si>
    <t>II квартал 2020 р.</t>
  </si>
  <si>
    <t>КОМУНАЛЬНОГО НЕКОМЕРЦІЙНОГО ПІДПРИЄМСТВА «МІСЬКА КЛІНІЧНА ЛІКАРНЯ №1» ОДЕСЬКОЇ МІСЬКОЇ РАДИ ЗА II  квартал 2020 РОКУ</t>
  </si>
  <si>
    <t>Лічильник водний, монтажний комплект</t>
  </si>
  <si>
    <t>Монтаж кнопок входу та виходу</t>
  </si>
  <si>
    <t>Обладнання кнопок входу та виходу</t>
  </si>
  <si>
    <t>Компьюторне обладнання</t>
  </si>
  <si>
    <t xml:space="preserve">Вебкамера S/N </t>
  </si>
  <si>
    <t>Плівка п/е для ЛОР відділення</t>
  </si>
  <si>
    <t>Програмний ремонт телефонного звязку</t>
  </si>
  <si>
    <t>Вироби медичного призначення</t>
  </si>
  <si>
    <t>Мішки п/е для паталогоанотомічного від.</t>
  </si>
  <si>
    <t>Підписка на журнали з охорони праці</t>
  </si>
  <si>
    <t>Участь у заході Медсправа для керівників</t>
  </si>
  <si>
    <t>Мережевий адаптер TP-Link</t>
  </si>
  <si>
    <t>Бездротовий маршрутизатор TP-Link TL-WR940N 300 Мбіт</t>
  </si>
  <si>
    <t>Адмін.витрати (грамоти)</t>
  </si>
  <si>
    <t>Надання адміністративних послуг (ліцензія)</t>
  </si>
  <si>
    <t>Журнал реєстрації</t>
  </si>
  <si>
    <t>Платіж за реєстрацію зміни юр. особи</t>
  </si>
  <si>
    <t>Ремонт УЗД апарата КДВ №2</t>
  </si>
  <si>
    <t>ФОП «Діба О.В.» журнали. КДВ №2</t>
  </si>
  <si>
    <t>ФОП «Діба О.В.» журнали КДВ №1 КДВ №3</t>
  </si>
  <si>
    <t>ФОП «Діба О.В.» амбулаторні карти КДВ №1 КДВ №3</t>
  </si>
  <si>
    <t>ФОП «Мілейка І.О.» термопапір. КДВ №2</t>
  </si>
  <si>
    <t>Магазин «Хумана», спецодяг, хозслужба</t>
  </si>
  <si>
    <t xml:space="preserve">ТОВ «Нова пошта», адміністрація  </t>
  </si>
  <si>
    <t>ФОП «Акуренко П.А.», батарейки, КІЗ КВД №1</t>
  </si>
  <si>
    <t>ТОВ «Страмани» інтернет КДВ №2</t>
  </si>
  <si>
    <t>Канцтовари КІЗ КВД №1</t>
  </si>
  <si>
    <t>Ключі адміністрація</t>
  </si>
  <si>
    <t>Маршрутизатор</t>
  </si>
  <si>
    <t>Конектор</t>
  </si>
  <si>
    <t>Кабель для принтера</t>
  </si>
  <si>
    <t>Відновлення даних ПК</t>
  </si>
  <si>
    <t>Господарські товари, КВД №2</t>
  </si>
  <si>
    <t>Заправка картріджа</t>
  </si>
  <si>
    <t>Ключі , замки, серцевина</t>
  </si>
  <si>
    <t>Калібрування апаратури КДЛ КДЦ</t>
  </si>
  <si>
    <t>Калібрув. сфігмоманометрів КДВ №1</t>
  </si>
  <si>
    <t>ООТ ЧЕРВОНОГО ХРЕСТА УКРАЇНИ</t>
  </si>
  <si>
    <t>ВБО "Благодійний фонд Родини Жебрівських"</t>
  </si>
  <si>
    <t>КНП "ЦПМСД №2 ОМР</t>
  </si>
  <si>
    <t>КНП "ЦПМСД №4 ОМР</t>
  </si>
  <si>
    <t>Маска медична одноразова 3600 шт</t>
  </si>
  <si>
    <t>Маска захисна 1000 шт</t>
  </si>
  <si>
    <t>Маска медична тришарова 1500 шт</t>
  </si>
  <si>
    <t>Захисна маска екран 500 шт</t>
  </si>
  <si>
    <t>ТОВ Фортуна</t>
  </si>
  <si>
    <t>Апарат ШВЛ 2 Hfmilton RAPHAEL XTC 2008</t>
  </si>
  <si>
    <t>КНП "ЦПМСД №28 ОМР</t>
  </si>
  <si>
    <t>КНП ДМП №3 ОМР</t>
  </si>
  <si>
    <t>Маски одноразові тришарові 3600 шт</t>
  </si>
  <si>
    <t>Комплект одягу інфекціоніста 50 шт</t>
  </si>
  <si>
    <t>ТОВ "Мамузін"</t>
  </si>
  <si>
    <t>Антисептичний засіб для шкіри та поверхонь 80 л.</t>
  </si>
  <si>
    <t>ТОВ "Портавик Холдинг"</t>
  </si>
  <si>
    <t>Антисептик шкірний 25 л</t>
  </si>
  <si>
    <t>Респіратор БУК 3, 100 шт</t>
  </si>
  <si>
    <t>БФ "100 відсотків життя Одесса"</t>
  </si>
  <si>
    <t>Дизинфікаційний засіб "Вінсепт", фл, 10 шт</t>
  </si>
  <si>
    <t>Рукавички не стерильні припудрені  латексні 1000 шт</t>
  </si>
  <si>
    <r>
      <t>Комбінезон захисний із спанбонду</t>
    </r>
    <r>
      <rPr>
        <sz val="12"/>
        <color theme="1"/>
        <rFont val="Times New Roman"/>
        <family val="1"/>
        <charset val="204"/>
      </rPr>
      <t xml:space="preserve"> , 650 in</t>
    </r>
  </si>
  <si>
    <t>Оприскувач,1 шт</t>
  </si>
  <si>
    <t>Екран захисний, 20 шт</t>
  </si>
  <si>
    <t>Халат зихисний із спанбонду ламінованого, 200 шт</t>
  </si>
  <si>
    <t>Рукавички Medicare L н/с опудр латекс огляд пар 2500</t>
  </si>
  <si>
    <t>Рукавички Medicare М н/с опудр латекс огляд , пар 2500</t>
  </si>
  <si>
    <t>Захисний комбенізон багаторазовий з капюшоном і водостійким покриттям (оксфорд) 56-58/180-188, 40 шт</t>
  </si>
  <si>
    <t>Захисний комбенізон багаторазовий з капюшоном і водостійким покриттям (оксфорд) 52-54/172-180, 40 шт</t>
  </si>
  <si>
    <t>Захисний комбенізон багаторазовий з капюшоном і водостійким покриттям (оксфорд) 48-50/164-172, 40 пар</t>
  </si>
  <si>
    <t>Маска хірургічна, шт 1000</t>
  </si>
  <si>
    <t>Комплект : бахіли та шолом, 200 шт</t>
  </si>
  <si>
    <t>Декасан розчин 0.2 мг/мл по 200 мл, 240 пл</t>
  </si>
  <si>
    <t xml:space="preserve">ТОВ "Юрія-фарм" </t>
  </si>
  <si>
    <t>Небулайзен компресорний Юлайзер  5 шт</t>
  </si>
  <si>
    <t>Юлайзер великий набір небулайзера , 50 шт</t>
  </si>
  <si>
    <t>Одеська обласна організація товариства Червононого Хреста України 03.05.2020</t>
  </si>
  <si>
    <t>Апарат ШВЛ Drager Evita 2, 3 шт</t>
  </si>
  <si>
    <t>Бокс ізолятор для транспортування інфікованих Біо-Бокс 20060</t>
  </si>
  <si>
    <t>БФ " Карітас Одеса УГКЦ"</t>
  </si>
  <si>
    <t>Засіб дезинфікуючий для рук АХД 2000 5л кан, 8 шт</t>
  </si>
  <si>
    <t>Рукавички оглядові латексні; L- 1500 пар, М- 2000 пар S-500 пар</t>
  </si>
  <si>
    <t>Система без фталатів для вливання кровозамінників, 515 шт</t>
  </si>
  <si>
    <t>Маска медична одноразова, 10 000 шт</t>
  </si>
  <si>
    <t>Шприц 5мл луєр трехкомпонентний, шт -1000 шт</t>
  </si>
  <si>
    <t>Всього за 2 кв. 2020 р. :</t>
  </si>
  <si>
    <t xml:space="preserve">Благодійний фонд "Медицина" </t>
  </si>
  <si>
    <t xml:space="preserve">Благодійний фонд "Медицина" КДЦ </t>
  </si>
  <si>
    <t xml:space="preserve">Швидкий діагностичний тест на виявлення гепатиту С Bioline HCV безпечні ланцети 25 тестів виробник Standart diagnostics, 8 уп </t>
  </si>
  <si>
    <t>Мило рідке, 20 л</t>
  </si>
  <si>
    <t xml:space="preserve">В.о. директора </t>
  </si>
  <si>
    <t>О.Х. Чіхварія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</si>
</sst>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1" xfId="0" applyBorder="1"/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4" fontId="0" fillId="2" borderId="0" xfId="0" applyNumberFormat="1" applyFill="1"/>
    <xf numFmtId="4" fontId="6" fillId="0" borderId="0" xfId="0" applyNumberFormat="1" applyFont="1"/>
    <xf numFmtId="4" fontId="0" fillId="0" borderId="0" xfId="0" applyNumberFormat="1"/>
    <xf numFmtId="16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/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top"/>
    </xf>
    <xf numFmtId="4" fontId="0" fillId="2" borderId="0" xfId="0" applyNumberFormat="1" applyFont="1" applyFill="1"/>
    <xf numFmtId="4" fontId="0" fillId="0" borderId="0" xfId="0" applyNumberFormat="1" applyFont="1"/>
    <xf numFmtId="4" fontId="4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" fontId="4" fillId="3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9" fillId="2" borderId="1" xfId="0" applyFont="1" applyFill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tabSelected="1" topLeftCell="A101" workbookViewId="0">
      <selection sqref="A1:K1"/>
    </sheetView>
  </sheetViews>
  <sheetFormatPr defaultRowHeight="15" x14ac:dyDescent="0.25"/>
  <cols>
    <col min="1" max="1" width="12" customWidth="1"/>
    <col min="2" max="2" width="29" customWidth="1"/>
    <col min="3" max="3" width="9.85546875" customWidth="1"/>
    <col min="4" max="4" width="11.7109375" style="15" customWidth="1"/>
    <col min="5" max="5" width="43.28515625" customWidth="1"/>
    <col min="6" max="6" width="11.42578125" customWidth="1"/>
    <col min="7" max="7" width="11.140625" customWidth="1"/>
    <col min="8" max="8" width="8.5703125" customWidth="1"/>
    <col min="9" max="9" width="45.28515625" customWidth="1"/>
    <col min="10" max="10" width="10.85546875" customWidth="1"/>
    <col min="11" max="11" width="17.42578125" style="35" customWidth="1"/>
  </cols>
  <sheetData>
    <row r="1" spans="1:11" x14ac:dyDescent="0.25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25">
      <c r="A5" s="71" t="s">
        <v>17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5">
      <c r="A6" s="71" t="s">
        <v>18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5">
      <c r="A7" s="71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5">
      <c r="A8" s="71" t="s">
        <v>33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ht="13.5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ht="32.25" customHeight="1" x14ac:dyDescent="0.25">
      <c r="A10" s="70" t="s">
        <v>0</v>
      </c>
      <c r="B10" s="70" t="s">
        <v>1</v>
      </c>
      <c r="C10" s="70" t="s">
        <v>2</v>
      </c>
      <c r="D10" s="70"/>
      <c r="E10" s="70"/>
      <c r="F10" s="70" t="s">
        <v>3</v>
      </c>
      <c r="G10" s="70" t="s">
        <v>4</v>
      </c>
      <c r="H10" s="70"/>
      <c r="I10" s="70"/>
      <c r="J10" s="70"/>
      <c r="K10" s="73" t="s">
        <v>5</v>
      </c>
    </row>
    <row r="11" spans="1:11" ht="6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3"/>
    </row>
    <row r="12" spans="1:11" ht="15.75" hidden="1" customHeight="1" thickBot="1" x14ac:dyDescent="0.3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3"/>
    </row>
    <row r="13" spans="1:11" ht="4.5" hidden="1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3"/>
    </row>
    <row r="14" spans="1:11" ht="51.75" customHeight="1" x14ac:dyDescent="0.25">
      <c r="A14" s="70"/>
      <c r="B14" s="70"/>
      <c r="C14" s="70" t="s">
        <v>6</v>
      </c>
      <c r="D14" s="74" t="s">
        <v>11</v>
      </c>
      <c r="E14" s="70" t="s">
        <v>7</v>
      </c>
      <c r="F14" s="70"/>
      <c r="G14" s="70" t="s">
        <v>8</v>
      </c>
      <c r="H14" s="70" t="s">
        <v>9</v>
      </c>
      <c r="I14" s="70" t="s">
        <v>10</v>
      </c>
      <c r="J14" s="70" t="s">
        <v>9</v>
      </c>
      <c r="K14" s="73"/>
    </row>
    <row r="15" spans="1:11" ht="35.25" customHeight="1" x14ac:dyDescent="0.25">
      <c r="A15" s="70"/>
      <c r="B15" s="70"/>
      <c r="C15" s="70"/>
      <c r="D15" s="74"/>
      <c r="E15" s="70"/>
      <c r="F15" s="70"/>
      <c r="G15" s="70"/>
      <c r="H15" s="70"/>
      <c r="I15" s="70"/>
      <c r="J15" s="70"/>
      <c r="K15" s="73"/>
    </row>
    <row r="16" spans="1:11" ht="8.25" hidden="1" customHeight="1" x14ac:dyDescent="0.25">
      <c r="A16" s="70"/>
      <c r="B16" s="70"/>
      <c r="C16" s="70"/>
      <c r="D16" s="74"/>
      <c r="E16" s="70"/>
      <c r="F16" s="70"/>
      <c r="G16" s="70"/>
      <c r="H16" s="70"/>
      <c r="I16" s="70"/>
      <c r="J16" s="70"/>
      <c r="K16" s="73"/>
    </row>
    <row r="17" spans="1:11" ht="18" customHeight="1" x14ac:dyDescent="0.25">
      <c r="A17" s="81" t="s">
        <v>32</v>
      </c>
      <c r="B17" s="79" t="s">
        <v>118</v>
      </c>
      <c r="C17" s="7"/>
      <c r="D17" s="41">
        <f>5249.69/1000</f>
        <v>5.2496899999999993</v>
      </c>
      <c r="E17" s="22" t="s">
        <v>34</v>
      </c>
      <c r="F17" s="4"/>
      <c r="G17" s="4"/>
      <c r="H17" s="77"/>
      <c r="I17" s="22" t="s">
        <v>34</v>
      </c>
      <c r="J17" s="41">
        <f>5249.69/1000</f>
        <v>5.2496899999999993</v>
      </c>
      <c r="K17" s="6"/>
    </row>
    <row r="18" spans="1:11" ht="18" customHeight="1" x14ac:dyDescent="0.25">
      <c r="A18" s="81"/>
      <c r="B18" s="79"/>
      <c r="C18" s="7"/>
      <c r="D18" s="41">
        <f>6423.6/1000</f>
        <v>6.4236000000000004</v>
      </c>
      <c r="E18" s="23" t="s">
        <v>35</v>
      </c>
      <c r="F18" s="4"/>
      <c r="G18" s="4"/>
      <c r="H18" s="77"/>
      <c r="I18" s="23" t="s">
        <v>35</v>
      </c>
      <c r="J18" s="41">
        <f>6423.6/1000</f>
        <v>6.4236000000000004</v>
      </c>
      <c r="K18" s="6"/>
    </row>
    <row r="19" spans="1:11" ht="18" customHeight="1" x14ac:dyDescent="0.25">
      <c r="A19" s="81"/>
      <c r="B19" s="79"/>
      <c r="C19" s="7"/>
      <c r="D19" s="67">
        <f>8606.4/1000</f>
        <v>8.6063999999999989</v>
      </c>
      <c r="E19" s="22" t="s">
        <v>36</v>
      </c>
      <c r="F19" s="12"/>
      <c r="G19" s="5"/>
      <c r="H19" s="77"/>
      <c r="I19" s="22" t="s">
        <v>36</v>
      </c>
      <c r="J19" s="67">
        <f>8606.4/1000</f>
        <v>8.6063999999999989</v>
      </c>
      <c r="K19" s="6"/>
    </row>
    <row r="20" spans="1:11" ht="18.75" customHeight="1" x14ac:dyDescent="0.25">
      <c r="A20" s="81"/>
      <c r="B20" s="79"/>
      <c r="C20" s="7"/>
      <c r="D20" s="67">
        <f>2279.5/1000</f>
        <v>2.2795000000000001</v>
      </c>
      <c r="E20" s="21" t="s">
        <v>27</v>
      </c>
      <c r="F20" s="12"/>
      <c r="G20" s="5"/>
      <c r="H20" s="77"/>
      <c r="I20" s="21" t="s">
        <v>27</v>
      </c>
      <c r="J20" s="67">
        <f>2279.5/1000</f>
        <v>2.2795000000000001</v>
      </c>
      <c r="K20" s="6"/>
    </row>
    <row r="21" spans="1:11" ht="18" customHeight="1" x14ac:dyDescent="0.25">
      <c r="A21" s="81"/>
      <c r="B21" s="79"/>
      <c r="C21" s="7"/>
      <c r="D21" s="67">
        <f>(242+1705+3080+4400)/1000</f>
        <v>9.4269999999999996</v>
      </c>
      <c r="E21" s="21" t="s">
        <v>41</v>
      </c>
      <c r="F21" s="12"/>
      <c r="G21" s="5"/>
      <c r="H21" s="77"/>
      <c r="I21" s="21" t="s">
        <v>41</v>
      </c>
      <c r="J21" s="67">
        <f>(242+1705+3080+4400)/1000</f>
        <v>9.4269999999999996</v>
      </c>
      <c r="K21" s="6"/>
    </row>
    <row r="22" spans="1:11" ht="18" customHeight="1" x14ac:dyDescent="0.25">
      <c r="A22" s="81"/>
      <c r="B22" s="79"/>
      <c r="C22" s="7"/>
      <c r="D22" s="67">
        <f>(10+100+20+63)/1000</f>
        <v>0.193</v>
      </c>
      <c r="E22" s="21" t="s">
        <v>12</v>
      </c>
      <c r="F22" s="12"/>
      <c r="G22" s="5"/>
      <c r="H22" s="77"/>
      <c r="I22" s="21" t="s">
        <v>12</v>
      </c>
      <c r="J22" s="67">
        <f>(10+100+20+63)/1000</f>
        <v>0.193</v>
      </c>
      <c r="K22" s="6"/>
    </row>
    <row r="23" spans="1:11" ht="18" customHeight="1" x14ac:dyDescent="0.25">
      <c r="A23" s="81"/>
      <c r="B23" s="79"/>
      <c r="C23" s="7"/>
      <c r="D23" s="67">
        <f>(90+10+10+20.8+255)/1000</f>
        <v>0.38580000000000003</v>
      </c>
      <c r="E23" s="23" t="s">
        <v>22</v>
      </c>
      <c r="F23" s="12"/>
      <c r="G23" s="5"/>
      <c r="H23" s="77"/>
      <c r="I23" s="23" t="s">
        <v>22</v>
      </c>
      <c r="J23" s="67">
        <f>(90+10+10+20.8+255)/1000</f>
        <v>0.38580000000000003</v>
      </c>
      <c r="K23" s="6"/>
    </row>
    <row r="24" spans="1:11" ht="18" customHeight="1" x14ac:dyDescent="0.25">
      <c r="A24" s="81"/>
      <c r="B24" s="79"/>
      <c r="C24" s="7"/>
      <c r="D24" s="67">
        <f>(140+210+100+85+35+80+63)/1000</f>
        <v>0.71299999999999997</v>
      </c>
      <c r="E24" s="23" t="s">
        <v>27</v>
      </c>
      <c r="F24" s="12"/>
      <c r="G24" s="5"/>
      <c r="H24" s="77"/>
      <c r="I24" s="23" t="s">
        <v>27</v>
      </c>
      <c r="J24" s="67">
        <f>(140+210+100+85+35+80+63)/1000</f>
        <v>0.71299999999999997</v>
      </c>
      <c r="K24" s="6"/>
    </row>
    <row r="25" spans="1:11" ht="18" customHeight="1" x14ac:dyDescent="0.25">
      <c r="A25" s="81"/>
      <c r="B25" s="79"/>
      <c r="C25" s="7"/>
      <c r="D25" s="67">
        <f>(897+945+549+32+276)/1000</f>
        <v>2.6989999999999998</v>
      </c>
      <c r="E25" s="21" t="s">
        <v>37</v>
      </c>
      <c r="F25" s="12"/>
      <c r="G25" s="5"/>
      <c r="H25" s="77"/>
      <c r="I25" s="21" t="s">
        <v>37</v>
      </c>
      <c r="J25" s="67">
        <f>(897+945+549+32+276)/1000</f>
        <v>2.6989999999999998</v>
      </c>
      <c r="K25" s="6"/>
    </row>
    <row r="26" spans="1:11" ht="18" customHeight="1" x14ac:dyDescent="0.25">
      <c r="A26" s="81"/>
      <c r="B26" s="79"/>
      <c r="C26" s="7"/>
      <c r="D26" s="67">
        <f>(1139+43+59)/1000</f>
        <v>1.2410000000000001</v>
      </c>
      <c r="E26" s="42" t="s">
        <v>38</v>
      </c>
      <c r="F26" s="12"/>
      <c r="G26" s="5"/>
      <c r="H26" s="77"/>
      <c r="I26" s="42" t="s">
        <v>38</v>
      </c>
      <c r="J26" s="67">
        <f>(1139+43+59)/1000</f>
        <v>1.2410000000000001</v>
      </c>
      <c r="K26" s="6"/>
    </row>
    <row r="27" spans="1:11" ht="18" customHeight="1" x14ac:dyDescent="0.25">
      <c r="A27" s="81"/>
      <c r="B27" s="79"/>
      <c r="C27" s="7"/>
      <c r="D27" s="67">
        <f>(290+1300+150+104.94)/1000</f>
        <v>1.84494</v>
      </c>
      <c r="E27" s="42" t="s">
        <v>39</v>
      </c>
      <c r="F27" s="12"/>
      <c r="G27" s="5"/>
      <c r="H27" s="77"/>
      <c r="I27" s="42" t="s">
        <v>39</v>
      </c>
      <c r="J27" s="67">
        <f>(290+1300+150+104.94)/1000</f>
        <v>1.84494</v>
      </c>
      <c r="K27" s="6"/>
    </row>
    <row r="28" spans="1:11" ht="18" customHeight="1" x14ac:dyDescent="0.25">
      <c r="A28" s="81"/>
      <c r="B28" s="79"/>
      <c r="C28" s="7"/>
      <c r="D28" s="67">
        <f>200/1000</f>
        <v>0.2</v>
      </c>
      <c r="E28" s="42" t="s">
        <v>40</v>
      </c>
      <c r="F28" s="12"/>
      <c r="G28" s="5"/>
      <c r="H28" s="77"/>
      <c r="I28" s="42" t="s">
        <v>40</v>
      </c>
      <c r="J28" s="67">
        <f>200/1000</f>
        <v>0.2</v>
      </c>
      <c r="K28" s="6"/>
    </row>
    <row r="29" spans="1:11" ht="18" customHeight="1" x14ac:dyDescent="0.25">
      <c r="A29" s="81"/>
      <c r="B29" s="79"/>
      <c r="C29" s="7"/>
      <c r="D29" s="67">
        <f>1670/1000</f>
        <v>1.67</v>
      </c>
      <c r="E29" s="23" t="s">
        <v>42</v>
      </c>
      <c r="F29" s="12"/>
      <c r="G29" s="5"/>
      <c r="H29" s="77"/>
      <c r="I29" s="23" t="s">
        <v>42</v>
      </c>
      <c r="J29" s="67">
        <f>1670/1000</f>
        <v>1.67</v>
      </c>
      <c r="K29" s="6"/>
    </row>
    <row r="30" spans="1:11" ht="18" customHeight="1" x14ac:dyDescent="0.25">
      <c r="A30" s="81"/>
      <c r="B30" s="79"/>
      <c r="C30" s="7"/>
      <c r="D30" s="39">
        <f>3971/1000</f>
        <v>3.9710000000000001</v>
      </c>
      <c r="E30" s="23" t="s">
        <v>43</v>
      </c>
      <c r="F30" s="12"/>
      <c r="G30" s="5"/>
      <c r="H30" s="77"/>
      <c r="I30" s="23" t="s">
        <v>43</v>
      </c>
      <c r="J30" s="39">
        <f>3971/1000</f>
        <v>3.9710000000000001</v>
      </c>
      <c r="K30" s="6"/>
    </row>
    <row r="31" spans="1:11" ht="18.75" customHeight="1" x14ac:dyDescent="0.25">
      <c r="A31" s="81"/>
      <c r="B31" s="79"/>
      <c r="C31" s="7"/>
      <c r="D31" s="39">
        <f>1080/1000</f>
        <v>1.08</v>
      </c>
      <c r="E31" s="23" t="s">
        <v>44</v>
      </c>
      <c r="F31" s="12"/>
      <c r="G31" s="5"/>
      <c r="H31" s="77"/>
      <c r="I31" s="23" t="s">
        <v>44</v>
      </c>
      <c r="J31" s="39">
        <f>1080/1000</f>
        <v>1.08</v>
      </c>
      <c r="K31" s="6"/>
    </row>
    <row r="32" spans="1:11" ht="19.5" customHeight="1" x14ac:dyDescent="0.25">
      <c r="A32" s="81"/>
      <c r="B32" s="79"/>
      <c r="C32" s="7"/>
      <c r="D32" s="39">
        <f>2279.5/1000</f>
        <v>2.2795000000000001</v>
      </c>
      <c r="E32" s="21" t="s">
        <v>27</v>
      </c>
      <c r="F32" s="12"/>
      <c r="G32" s="5"/>
      <c r="H32" s="77"/>
      <c r="I32" s="21" t="s">
        <v>27</v>
      </c>
      <c r="J32" s="39">
        <f>2279.5/1000</f>
        <v>2.2795000000000001</v>
      </c>
      <c r="K32" s="6"/>
    </row>
    <row r="33" spans="1:14" ht="18.75" customHeight="1" x14ac:dyDescent="0.25">
      <c r="A33" s="81"/>
      <c r="B33" s="79"/>
      <c r="C33" s="7"/>
      <c r="D33" s="39">
        <f>(35+35)/1000</f>
        <v>7.0000000000000007E-2</v>
      </c>
      <c r="E33" s="43" t="s">
        <v>26</v>
      </c>
      <c r="F33" s="12"/>
      <c r="G33" s="5"/>
      <c r="H33" s="77"/>
      <c r="I33" s="43" t="s">
        <v>26</v>
      </c>
      <c r="J33" s="39">
        <f>(35+35)/1000</f>
        <v>7.0000000000000007E-2</v>
      </c>
      <c r="K33" s="6"/>
    </row>
    <row r="34" spans="1:14" ht="20.25" customHeight="1" x14ac:dyDescent="0.25">
      <c r="A34" s="81"/>
      <c r="B34" s="79"/>
      <c r="C34" s="7"/>
      <c r="D34" s="39">
        <f>1570/1000</f>
        <v>1.57</v>
      </c>
      <c r="E34" s="21" t="s">
        <v>27</v>
      </c>
      <c r="F34" s="12"/>
      <c r="G34" s="5"/>
      <c r="H34" s="77"/>
      <c r="I34" s="21" t="s">
        <v>27</v>
      </c>
      <c r="J34" s="39">
        <f>1570/1000</f>
        <v>1.57</v>
      </c>
      <c r="K34" s="6"/>
    </row>
    <row r="35" spans="1:14" ht="18.75" customHeight="1" x14ac:dyDescent="0.25">
      <c r="A35" s="81"/>
      <c r="B35" s="79"/>
      <c r="C35" s="7"/>
      <c r="D35" s="39">
        <f>1348/1000</f>
        <v>1.3480000000000001</v>
      </c>
      <c r="E35" s="21" t="s">
        <v>27</v>
      </c>
      <c r="F35" s="12"/>
      <c r="G35" s="5"/>
      <c r="H35" s="77"/>
      <c r="I35" s="21" t="s">
        <v>27</v>
      </c>
      <c r="J35" s="39">
        <f>1348/1000</f>
        <v>1.3480000000000001</v>
      </c>
      <c r="K35" s="6"/>
    </row>
    <row r="36" spans="1:14" ht="19.5" customHeight="1" x14ac:dyDescent="0.25">
      <c r="A36" s="81"/>
      <c r="B36" s="79"/>
      <c r="C36" s="7"/>
      <c r="D36" s="39">
        <f>1500/1000</f>
        <v>1.5</v>
      </c>
      <c r="E36" s="21" t="s">
        <v>27</v>
      </c>
      <c r="F36" s="12"/>
      <c r="G36" s="5"/>
      <c r="H36" s="77"/>
      <c r="I36" s="21" t="s">
        <v>27</v>
      </c>
      <c r="J36" s="39">
        <f>1500/1000</f>
        <v>1.5</v>
      </c>
      <c r="K36" s="6"/>
    </row>
    <row r="37" spans="1:14" ht="17.25" customHeight="1" x14ac:dyDescent="0.25">
      <c r="A37" s="81"/>
      <c r="B37" s="79"/>
      <c r="C37" s="7"/>
      <c r="D37" s="39">
        <f>229/1000</f>
        <v>0.22900000000000001</v>
      </c>
      <c r="E37" s="40" t="s">
        <v>45</v>
      </c>
      <c r="F37" s="40"/>
      <c r="G37" s="40"/>
      <c r="H37" s="77"/>
      <c r="I37" s="40" t="s">
        <v>45</v>
      </c>
      <c r="J37" s="39">
        <f>229/1000</f>
        <v>0.22900000000000001</v>
      </c>
      <c r="K37" s="6"/>
    </row>
    <row r="38" spans="1:14" ht="31.5" customHeight="1" x14ac:dyDescent="0.25">
      <c r="A38" s="81"/>
      <c r="B38" s="79"/>
      <c r="C38" s="7"/>
      <c r="D38" s="39">
        <f>749/1000</f>
        <v>0.749</v>
      </c>
      <c r="E38" s="40" t="s">
        <v>46</v>
      </c>
      <c r="F38" s="40"/>
      <c r="G38" s="40"/>
      <c r="H38" s="77"/>
      <c r="I38" s="40" t="s">
        <v>46</v>
      </c>
      <c r="J38" s="39">
        <f>749/1000</f>
        <v>0.749</v>
      </c>
      <c r="K38" s="6"/>
    </row>
    <row r="39" spans="1:14" ht="17.25" customHeight="1" x14ac:dyDescent="0.25">
      <c r="A39" s="81"/>
      <c r="B39" s="79"/>
      <c r="C39" s="7"/>
      <c r="D39" s="39">
        <f>(25+80)/1000</f>
        <v>0.105</v>
      </c>
      <c r="E39" s="23" t="s">
        <v>47</v>
      </c>
      <c r="F39" s="12"/>
      <c r="G39" s="5"/>
      <c r="H39" s="77"/>
      <c r="I39" s="23" t="s">
        <v>47</v>
      </c>
      <c r="J39" s="39">
        <f>(25+80)/1000</f>
        <v>0.105</v>
      </c>
      <c r="K39" s="6"/>
    </row>
    <row r="40" spans="1:14" ht="17.25" customHeight="1" x14ac:dyDescent="0.25">
      <c r="A40" s="81"/>
      <c r="B40" s="79"/>
      <c r="C40" s="7"/>
      <c r="D40" s="39">
        <f>(21282.3+750)/1000</f>
        <v>22.032299999999999</v>
      </c>
      <c r="E40" s="23" t="s">
        <v>20</v>
      </c>
      <c r="F40" s="12"/>
      <c r="G40" s="5"/>
      <c r="H40" s="77"/>
      <c r="I40" s="23" t="s">
        <v>20</v>
      </c>
      <c r="J40" s="39">
        <f>(21282.3+750)/1000</f>
        <v>22.032299999999999</v>
      </c>
      <c r="K40" s="6"/>
    </row>
    <row r="41" spans="1:14" ht="17.25" customHeight="1" x14ac:dyDescent="0.25">
      <c r="A41" s="81"/>
      <c r="B41" s="79"/>
      <c r="C41" s="7"/>
      <c r="D41" s="39">
        <f>535/1000</f>
        <v>0.53500000000000003</v>
      </c>
      <c r="E41" s="23" t="s">
        <v>48</v>
      </c>
      <c r="F41" s="12"/>
      <c r="G41" s="5"/>
      <c r="H41" s="77"/>
      <c r="I41" s="23" t="s">
        <v>48</v>
      </c>
      <c r="J41" s="39">
        <f>535/1000</f>
        <v>0.53500000000000003</v>
      </c>
      <c r="K41" s="6"/>
    </row>
    <row r="42" spans="1:14" ht="17.25" customHeight="1" x14ac:dyDescent="0.25">
      <c r="A42" s="81"/>
      <c r="B42" s="79"/>
      <c r="C42" s="7"/>
      <c r="D42" s="39">
        <f>(60+180+435)/1000</f>
        <v>0.67500000000000004</v>
      </c>
      <c r="E42" s="23" t="s">
        <v>27</v>
      </c>
      <c r="F42" s="12"/>
      <c r="G42" s="5"/>
      <c r="H42" s="77"/>
      <c r="I42" s="23" t="s">
        <v>27</v>
      </c>
      <c r="J42" s="39">
        <f>(60+180+435)/1000</f>
        <v>0.67500000000000004</v>
      </c>
      <c r="K42" s="6"/>
    </row>
    <row r="43" spans="1:14" ht="17.25" customHeight="1" x14ac:dyDescent="0.25">
      <c r="A43" s="81"/>
      <c r="B43" s="79"/>
      <c r="C43" s="7"/>
      <c r="D43" s="39">
        <f>(60+45)/1000</f>
        <v>0.105</v>
      </c>
      <c r="E43" s="23" t="s">
        <v>12</v>
      </c>
      <c r="F43" s="12"/>
      <c r="G43" s="5"/>
      <c r="H43" s="77"/>
      <c r="I43" s="23" t="s">
        <v>12</v>
      </c>
      <c r="J43" s="39">
        <f>(60+45)/1000</f>
        <v>0.105</v>
      </c>
      <c r="K43" s="6"/>
    </row>
    <row r="44" spans="1:14" ht="17.25" customHeight="1" x14ac:dyDescent="0.25">
      <c r="A44" s="81"/>
      <c r="B44" s="79"/>
      <c r="C44" s="7"/>
      <c r="D44" s="39">
        <f>157/1000</f>
        <v>0.157</v>
      </c>
      <c r="E44" s="23" t="s">
        <v>49</v>
      </c>
      <c r="F44" s="12"/>
      <c r="G44" s="5"/>
      <c r="H44" s="77"/>
      <c r="I44" s="23" t="s">
        <v>49</v>
      </c>
      <c r="J44" s="39">
        <f>157/1000</f>
        <v>0.157</v>
      </c>
      <c r="K44" s="6"/>
    </row>
    <row r="45" spans="1:14" ht="17.25" customHeight="1" x14ac:dyDescent="0.25">
      <c r="A45" s="81"/>
      <c r="B45" s="79"/>
      <c r="C45" s="7"/>
      <c r="D45" s="39">
        <f>650/1000</f>
        <v>0.65</v>
      </c>
      <c r="E45" s="23" t="s">
        <v>50</v>
      </c>
      <c r="F45" s="12"/>
      <c r="G45" s="5"/>
      <c r="H45" s="77"/>
      <c r="I45" s="23" t="s">
        <v>50</v>
      </c>
      <c r="J45" s="39">
        <f>650/1000</f>
        <v>0.65</v>
      </c>
      <c r="K45" s="6"/>
    </row>
    <row r="46" spans="1:14" ht="18" customHeight="1" x14ac:dyDescent="0.25">
      <c r="A46" s="81"/>
      <c r="B46" s="62" t="s">
        <v>13</v>
      </c>
      <c r="C46" s="31"/>
      <c r="D46" s="20">
        <f>SUM(D17:D45)</f>
        <v>77.98872999999999</v>
      </c>
      <c r="E46" s="29"/>
      <c r="F46" s="17"/>
      <c r="G46" s="18"/>
      <c r="H46" s="19"/>
      <c r="I46" s="18"/>
      <c r="J46" s="20">
        <f>SUM(J17:J45)</f>
        <v>77.98872999999999</v>
      </c>
      <c r="K46" s="28"/>
      <c r="L46" s="15"/>
      <c r="N46" s="15"/>
    </row>
    <row r="47" spans="1:14" ht="18" customHeight="1" x14ac:dyDescent="0.25">
      <c r="A47" s="81"/>
      <c r="B47" s="79" t="s">
        <v>119</v>
      </c>
      <c r="C47" s="78"/>
      <c r="D47" s="16">
        <f>43128.91/1000</f>
        <v>43.128910000000005</v>
      </c>
      <c r="E47" s="44" t="s">
        <v>30</v>
      </c>
      <c r="F47" s="9"/>
      <c r="G47" s="5"/>
      <c r="H47" s="78"/>
      <c r="I47" s="44" t="s">
        <v>30</v>
      </c>
      <c r="J47" s="16">
        <f>43128.91/1000</f>
        <v>43.128910000000005</v>
      </c>
      <c r="K47" s="6"/>
    </row>
    <row r="48" spans="1:14" ht="21" customHeight="1" x14ac:dyDescent="0.25">
      <c r="A48" s="81"/>
      <c r="B48" s="79"/>
      <c r="C48" s="78"/>
      <c r="D48" s="16">
        <f>1100/1000</f>
        <v>1.1000000000000001</v>
      </c>
      <c r="E48" s="44" t="s">
        <v>51</v>
      </c>
      <c r="F48" s="9"/>
      <c r="G48" s="5"/>
      <c r="H48" s="78"/>
      <c r="I48" s="44" t="s">
        <v>51</v>
      </c>
      <c r="J48" s="16">
        <f>1100/1000</f>
        <v>1.1000000000000001</v>
      </c>
      <c r="K48" s="6"/>
    </row>
    <row r="49" spans="1:11" ht="18" customHeight="1" x14ac:dyDescent="0.25">
      <c r="A49" s="81"/>
      <c r="B49" s="79"/>
      <c r="C49" s="78"/>
      <c r="D49" s="16">
        <f>3590/1000</f>
        <v>3.59</v>
      </c>
      <c r="E49" s="44" t="s">
        <v>69</v>
      </c>
      <c r="F49" s="9"/>
      <c r="G49" s="5"/>
      <c r="H49" s="78"/>
      <c r="I49" s="44" t="s">
        <v>69</v>
      </c>
      <c r="J49" s="16">
        <f>3590/1000</f>
        <v>3.59</v>
      </c>
      <c r="K49" s="6"/>
    </row>
    <row r="50" spans="1:11" ht="17.25" customHeight="1" x14ac:dyDescent="0.25">
      <c r="A50" s="81"/>
      <c r="B50" s="79"/>
      <c r="C50" s="78"/>
      <c r="D50" s="16">
        <f>420/1000</f>
        <v>0.42</v>
      </c>
      <c r="E50" s="44" t="s">
        <v>70</v>
      </c>
      <c r="F50" s="9"/>
      <c r="G50" s="5"/>
      <c r="H50" s="78"/>
      <c r="I50" s="44" t="s">
        <v>70</v>
      </c>
      <c r="J50" s="16">
        <f>420/1000</f>
        <v>0.42</v>
      </c>
      <c r="K50" s="6"/>
    </row>
    <row r="51" spans="1:11" ht="18" customHeight="1" x14ac:dyDescent="0.25">
      <c r="A51" s="81"/>
      <c r="B51" s="79" t="s">
        <v>119</v>
      </c>
      <c r="C51" s="78"/>
      <c r="D51" s="16">
        <f>2100/1000</f>
        <v>2.1</v>
      </c>
      <c r="E51" s="44" t="s">
        <v>52</v>
      </c>
      <c r="F51" s="9"/>
      <c r="G51" s="5"/>
      <c r="H51" s="78"/>
      <c r="I51" s="44" t="s">
        <v>52</v>
      </c>
      <c r="J51" s="16">
        <f>2100/1000</f>
        <v>2.1</v>
      </c>
      <c r="K51" s="6"/>
    </row>
    <row r="52" spans="1:11" ht="36" customHeight="1" x14ac:dyDescent="0.25">
      <c r="A52" s="81"/>
      <c r="B52" s="79"/>
      <c r="C52" s="78"/>
      <c r="D52" s="16">
        <f>2600/1000</f>
        <v>2.6</v>
      </c>
      <c r="E52" s="45" t="s">
        <v>53</v>
      </c>
      <c r="F52" s="9"/>
      <c r="G52" s="5"/>
      <c r="H52" s="78"/>
      <c r="I52" s="45" t="s">
        <v>53</v>
      </c>
      <c r="J52" s="16">
        <f>2600/1000</f>
        <v>2.6</v>
      </c>
      <c r="K52" s="6"/>
    </row>
    <row r="53" spans="1:11" ht="33" customHeight="1" x14ac:dyDescent="0.25">
      <c r="A53" s="81"/>
      <c r="B53" s="79"/>
      <c r="C53" s="78"/>
      <c r="D53" s="16">
        <f>7000/1000</f>
        <v>7</v>
      </c>
      <c r="E53" s="44" t="s">
        <v>54</v>
      </c>
      <c r="F53" s="9"/>
      <c r="G53" s="5"/>
      <c r="H53" s="78"/>
      <c r="I53" s="44" t="s">
        <v>54</v>
      </c>
      <c r="J53" s="16">
        <f>7000/1000</f>
        <v>7</v>
      </c>
      <c r="K53" s="6"/>
    </row>
    <row r="54" spans="1:11" ht="30" customHeight="1" x14ac:dyDescent="0.25">
      <c r="A54" s="81"/>
      <c r="B54" s="79"/>
      <c r="C54" s="78"/>
      <c r="D54" s="16">
        <f>1462.4/1000</f>
        <v>1.4624000000000001</v>
      </c>
      <c r="E54" s="21" t="s">
        <v>55</v>
      </c>
      <c r="F54" s="9"/>
      <c r="G54" s="5"/>
      <c r="H54" s="78"/>
      <c r="I54" s="21" t="s">
        <v>55</v>
      </c>
      <c r="J54" s="16">
        <f>1462.4/1000</f>
        <v>1.4624000000000001</v>
      </c>
      <c r="K54" s="6"/>
    </row>
    <row r="55" spans="1:11" ht="18" customHeight="1" x14ac:dyDescent="0.25">
      <c r="A55" s="81"/>
      <c r="B55" s="79"/>
      <c r="C55" s="78"/>
      <c r="D55" s="16">
        <f>(161.9+27+174.41)/1000</f>
        <v>0.36331000000000002</v>
      </c>
      <c r="E55" s="45" t="s">
        <v>60</v>
      </c>
      <c r="F55" s="9"/>
      <c r="G55" s="5"/>
      <c r="H55" s="78"/>
      <c r="I55" s="45" t="s">
        <v>60</v>
      </c>
      <c r="J55" s="16">
        <f>(161.9+27+174.41)/1000</f>
        <v>0.36331000000000002</v>
      </c>
      <c r="K55" s="6"/>
    </row>
    <row r="56" spans="1:11" ht="19.5" customHeight="1" x14ac:dyDescent="0.25">
      <c r="A56" s="81"/>
      <c r="B56" s="79"/>
      <c r="C56" s="78"/>
      <c r="D56" s="16">
        <f>316/1000</f>
        <v>0.316</v>
      </c>
      <c r="E56" s="44" t="s">
        <v>56</v>
      </c>
      <c r="F56" s="9"/>
      <c r="G56" s="5"/>
      <c r="H56" s="78"/>
      <c r="I56" s="44" t="s">
        <v>56</v>
      </c>
      <c r="J56" s="16">
        <f>316/1000</f>
        <v>0.316</v>
      </c>
      <c r="K56" s="6"/>
    </row>
    <row r="57" spans="1:11" ht="19.5" customHeight="1" x14ac:dyDescent="0.25">
      <c r="A57" s="81"/>
      <c r="B57" s="79"/>
      <c r="C57" s="78"/>
      <c r="D57" s="16">
        <f>66/1000</f>
        <v>6.6000000000000003E-2</v>
      </c>
      <c r="E57" s="44" t="s">
        <v>57</v>
      </c>
      <c r="F57" s="9"/>
      <c r="G57" s="5"/>
      <c r="H57" s="78"/>
      <c r="I57" s="44" t="s">
        <v>57</v>
      </c>
      <c r="J57" s="16">
        <f>66/1000</f>
        <v>6.6000000000000003E-2</v>
      </c>
      <c r="K57" s="6"/>
    </row>
    <row r="58" spans="1:11" ht="29.25" customHeight="1" x14ac:dyDescent="0.25">
      <c r="A58" s="81"/>
      <c r="B58" s="79"/>
      <c r="C58" s="78"/>
      <c r="D58" s="16">
        <f>(39.4+39.4+39.4)/1000</f>
        <v>0.11819999999999999</v>
      </c>
      <c r="E58" s="44" t="s">
        <v>58</v>
      </c>
      <c r="F58" s="9"/>
      <c r="G58" s="5"/>
      <c r="H58" s="78"/>
      <c r="I58" s="44" t="s">
        <v>58</v>
      </c>
      <c r="J58" s="16">
        <f>(39.4+39.4+39.4)/1000</f>
        <v>0.11819999999999999</v>
      </c>
      <c r="K58" s="6"/>
    </row>
    <row r="59" spans="1:11" ht="18.75" customHeight="1" x14ac:dyDescent="0.25">
      <c r="A59" s="81"/>
      <c r="B59" s="79"/>
      <c r="C59" s="78"/>
      <c r="D59" s="16">
        <f>(250+160+250+250+160+250+250+160+250)/1000</f>
        <v>1.98</v>
      </c>
      <c r="E59" s="44" t="s">
        <v>59</v>
      </c>
      <c r="F59" s="9"/>
      <c r="G59" s="5"/>
      <c r="H59" s="78"/>
      <c r="I59" s="44" t="s">
        <v>59</v>
      </c>
      <c r="J59" s="16">
        <f>(250+160+250+250+160+250+250+160+250)/1000</f>
        <v>1.98</v>
      </c>
      <c r="K59" s="6"/>
    </row>
    <row r="60" spans="1:11" ht="18" customHeight="1" x14ac:dyDescent="0.25">
      <c r="A60" s="81"/>
      <c r="B60" s="79"/>
      <c r="C60" s="78"/>
      <c r="D60" s="16">
        <f>(33+66+120+764.83)/1000</f>
        <v>0.98383000000000009</v>
      </c>
      <c r="E60" s="44" t="s">
        <v>66</v>
      </c>
      <c r="F60" s="9"/>
      <c r="G60" s="5"/>
      <c r="H60" s="78"/>
      <c r="I60" s="44" t="s">
        <v>66</v>
      </c>
      <c r="J60" s="16">
        <f>(33+66+120+764.83)/1000</f>
        <v>0.98383000000000009</v>
      </c>
      <c r="K60" s="6"/>
    </row>
    <row r="61" spans="1:11" ht="15" customHeight="1" x14ac:dyDescent="0.25">
      <c r="A61" s="81"/>
      <c r="B61" s="79"/>
      <c r="C61" s="78"/>
      <c r="D61" s="16">
        <f>(684.2+649.99+64.6+514.6+137.4+204.94+245.39+100.27+419.34+109.23+295.01+76)/1000</f>
        <v>3.5009700000000001</v>
      </c>
      <c r="E61" s="44" t="s">
        <v>23</v>
      </c>
      <c r="F61" s="9"/>
      <c r="G61" s="5"/>
      <c r="H61" s="78"/>
      <c r="I61" s="44" t="s">
        <v>23</v>
      </c>
      <c r="J61" s="16">
        <f>(684.2+649.99+64.6+514.6+137.4+204.94+245.39+100.27+419.34+109.23+295.01+76)/1000</f>
        <v>3.5009700000000001</v>
      </c>
      <c r="K61" s="6"/>
    </row>
    <row r="62" spans="1:11" ht="19.5" customHeight="1" x14ac:dyDescent="0.25">
      <c r="A62" s="81"/>
      <c r="B62" s="79"/>
      <c r="C62" s="78"/>
      <c r="D62" s="16">
        <f>(420+100)/1000</f>
        <v>0.52</v>
      </c>
      <c r="E62" s="44" t="s">
        <v>61</v>
      </c>
      <c r="F62" s="9"/>
      <c r="G62" s="5"/>
      <c r="H62" s="78"/>
      <c r="I62" s="44" t="s">
        <v>61</v>
      </c>
      <c r="J62" s="16">
        <f>(420+100)/1000</f>
        <v>0.52</v>
      </c>
      <c r="K62" s="6"/>
    </row>
    <row r="63" spans="1:11" ht="19.5" customHeight="1" x14ac:dyDescent="0.25">
      <c r="A63" s="81"/>
      <c r="B63" s="79"/>
      <c r="C63" s="78"/>
      <c r="D63" s="16">
        <f>599/1000</f>
        <v>0.59899999999999998</v>
      </c>
      <c r="E63" s="44" t="s">
        <v>62</v>
      </c>
      <c r="F63" s="9"/>
      <c r="G63" s="5"/>
      <c r="H63" s="78"/>
      <c r="I63" s="44" t="s">
        <v>62</v>
      </c>
      <c r="J63" s="16">
        <f>599/1000</f>
        <v>0.59899999999999998</v>
      </c>
      <c r="K63" s="6"/>
    </row>
    <row r="64" spans="1:11" ht="19.5" customHeight="1" x14ac:dyDescent="0.25">
      <c r="A64" s="81"/>
      <c r="B64" s="79"/>
      <c r="C64" s="78"/>
      <c r="D64" s="16">
        <f>50/1000</f>
        <v>0.05</v>
      </c>
      <c r="E64" s="44" t="s">
        <v>63</v>
      </c>
      <c r="F64" s="9"/>
      <c r="G64" s="5"/>
      <c r="H64" s="78"/>
      <c r="I64" s="44" t="s">
        <v>63</v>
      </c>
      <c r="J64" s="16">
        <f>50/1000</f>
        <v>0.05</v>
      </c>
      <c r="K64" s="6"/>
    </row>
    <row r="65" spans="1:13" ht="19.5" customHeight="1" x14ac:dyDescent="0.25">
      <c r="A65" s="81"/>
      <c r="B65" s="79"/>
      <c r="C65" s="78"/>
      <c r="D65" s="16">
        <f>100/1000</f>
        <v>0.1</v>
      </c>
      <c r="E65" s="21" t="s">
        <v>64</v>
      </c>
      <c r="F65" s="9"/>
      <c r="G65" s="5"/>
      <c r="H65" s="78"/>
      <c r="I65" s="21" t="s">
        <v>64</v>
      </c>
      <c r="J65" s="16">
        <f>100/1000</f>
        <v>0.1</v>
      </c>
      <c r="K65" s="6"/>
    </row>
    <row r="66" spans="1:13" ht="19.5" customHeight="1" x14ac:dyDescent="0.25">
      <c r="A66" s="81"/>
      <c r="B66" s="79"/>
      <c r="C66" s="78"/>
      <c r="D66" s="16">
        <f>406/1000</f>
        <v>0.40600000000000003</v>
      </c>
      <c r="E66" s="21" t="s">
        <v>12</v>
      </c>
      <c r="F66" s="9"/>
      <c r="G66" s="5"/>
      <c r="H66" s="78"/>
      <c r="I66" s="21" t="s">
        <v>12</v>
      </c>
      <c r="J66" s="16">
        <f>406/1000</f>
        <v>0.40600000000000003</v>
      </c>
      <c r="K66" s="6"/>
    </row>
    <row r="67" spans="1:13" ht="19.5" customHeight="1" x14ac:dyDescent="0.25">
      <c r="A67" s="81"/>
      <c r="B67" s="79"/>
      <c r="C67" s="78"/>
      <c r="D67" s="16">
        <f>(115+150+115+550+170)/1000</f>
        <v>1.1000000000000001</v>
      </c>
      <c r="E67" s="44" t="s">
        <v>68</v>
      </c>
      <c r="F67" s="9"/>
      <c r="G67" s="5"/>
      <c r="H67" s="78"/>
      <c r="I67" s="44" t="s">
        <v>68</v>
      </c>
      <c r="J67" s="16">
        <f>(115+150+115+550+170)/1000</f>
        <v>1.1000000000000001</v>
      </c>
      <c r="K67" s="6"/>
    </row>
    <row r="68" spans="1:13" ht="19.5" customHeight="1" x14ac:dyDescent="0.25">
      <c r="A68" s="81"/>
      <c r="B68" s="79"/>
      <c r="C68" s="78"/>
      <c r="D68" s="16">
        <f>1607/1000</f>
        <v>1.607</v>
      </c>
      <c r="E68" s="44" t="s">
        <v>30</v>
      </c>
      <c r="F68" s="9"/>
      <c r="G68" s="5"/>
      <c r="H68" s="78"/>
      <c r="I68" s="44" t="s">
        <v>30</v>
      </c>
      <c r="J68" s="16">
        <f>1607/1000</f>
        <v>1.607</v>
      </c>
      <c r="K68" s="6"/>
    </row>
    <row r="69" spans="1:13" ht="19.5" customHeight="1" x14ac:dyDescent="0.25">
      <c r="A69" s="81"/>
      <c r="B69" s="79"/>
      <c r="C69" s="78"/>
      <c r="D69" s="16">
        <f>(2180+1640)/1000</f>
        <v>3.82</v>
      </c>
      <c r="E69" s="46" t="s">
        <v>65</v>
      </c>
      <c r="F69" s="9"/>
      <c r="G69" s="5"/>
      <c r="H69" s="78"/>
      <c r="I69" s="46" t="s">
        <v>65</v>
      </c>
      <c r="J69" s="16">
        <f>(2180+1640)/1000</f>
        <v>3.82</v>
      </c>
      <c r="K69" s="6"/>
    </row>
    <row r="70" spans="1:13" ht="19.5" customHeight="1" x14ac:dyDescent="0.25">
      <c r="A70" s="81"/>
      <c r="B70" s="79"/>
      <c r="C70" s="78"/>
      <c r="D70" s="16">
        <f>(391.1+1350)/1000</f>
        <v>1.7410999999999999</v>
      </c>
      <c r="E70" s="46" t="s">
        <v>31</v>
      </c>
      <c r="F70" s="9"/>
      <c r="G70" s="5"/>
      <c r="H70" s="78"/>
      <c r="I70" s="46" t="s">
        <v>31</v>
      </c>
      <c r="J70" s="16">
        <f>(391.1+1350)/1000</f>
        <v>1.7410999999999999</v>
      </c>
      <c r="K70" s="6"/>
    </row>
    <row r="71" spans="1:13" ht="19.5" customHeight="1" x14ac:dyDescent="0.25">
      <c r="A71" s="81"/>
      <c r="B71" s="79"/>
      <c r="C71" s="78"/>
      <c r="D71" s="16">
        <f>120/1000</f>
        <v>0.12</v>
      </c>
      <c r="E71" s="46" t="s">
        <v>67</v>
      </c>
      <c r="F71" s="9"/>
      <c r="G71" s="5"/>
      <c r="H71" s="78"/>
      <c r="I71" s="46" t="s">
        <v>67</v>
      </c>
      <c r="J71" s="16">
        <f>120/1000</f>
        <v>0.12</v>
      </c>
      <c r="K71" s="6"/>
    </row>
    <row r="72" spans="1:13" ht="19.5" customHeight="1" x14ac:dyDescent="0.25">
      <c r="A72" s="81"/>
      <c r="B72" s="79"/>
      <c r="C72" s="78"/>
      <c r="D72" s="16">
        <f>235/1000</f>
        <v>0.23499999999999999</v>
      </c>
      <c r="E72" s="21" t="s">
        <v>22</v>
      </c>
      <c r="F72" s="9"/>
      <c r="G72" s="5"/>
      <c r="H72" s="78"/>
      <c r="I72" s="21" t="s">
        <v>22</v>
      </c>
      <c r="J72" s="16">
        <f>235/1000</f>
        <v>0.23499999999999999</v>
      </c>
      <c r="K72" s="6"/>
    </row>
    <row r="73" spans="1:13" ht="17.25" customHeight="1" x14ac:dyDescent="0.25">
      <c r="A73" s="81"/>
      <c r="B73" s="33" t="s">
        <v>21</v>
      </c>
      <c r="C73" s="38"/>
      <c r="D73" s="20">
        <f>SUM(D47:D72)</f>
        <v>79.027720000000002</v>
      </c>
      <c r="E73" s="29"/>
      <c r="F73" s="28"/>
      <c r="G73" s="18"/>
      <c r="H73" s="19"/>
      <c r="I73" s="29"/>
      <c r="J73" s="20">
        <f>SUM(J47:J72)</f>
        <v>79.027720000000002</v>
      </c>
      <c r="K73" s="28"/>
    </row>
    <row r="74" spans="1:13" ht="27.75" customHeight="1" x14ac:dyDescent="0.25">
      <c r="A74" s="81"/>
      <c r="B74" s="63" t="s">
        <v>71</v>
      </c>
      <c r="C74" s="54"/>
      <c r="D74" s="53">
        <f>118000/1000</f>
        <v>118</v>
      </c>
      <c r="E74" s="52" t="s">
        <v>78</v>
      </c>
      <c r="F74" s="50"/>
      <c r="G74" s="5"/>
      <c r="H74" s="5"/>
      <c r="I74" s="52" t="s">
        <v>78</v>
      </c>
      <c r="J74" s="53">
        <f>118000/1000</f>
        <v>118</v>
      </c>
      <c r="K74" s="49"/>
      <c r="M74" s="36"/>
    </row>
    <row r="75" spans="1:13" ht="33" customHeight="1" x14ac:dyDescent="0.25">
      <c r="A75" s="81"/>
      <c r="B75" s="64" t="s">
        <v>72</v>
      </c>
      <c r="C75" s="47"/>
      <c r="D75" s="53">
        <f>28635/1000</f>
        <v>28.635000000000002</v>
      </c>
      <c r="E75" s="52" t="s">
        <v>77</v>
      </c>
      <c r="F75" s="50"/>
      <c r="G75" s="5"/>
      <c r="H75" s="5"/>
      <c r="I75" s="52" t="s">
        <v>77</v>
      </c>
      <c r="J75" s="53">
        <f>28635/1000</f>
        <v>28.635000000000002</v>
      </c>
      <c r="K75" s="49"/>
      <c r="M75" s="36"/>
    </row>
    <row r="76" spans="1:13" ht="23.25" customHeight="1" x14ac:dyDescent="0.25">
      <c r="A76" s="81"/>
      <c r="B76" s="65" t="s">
        <v>74</v>
      </c>
      <c r="C76" s="47"/>
      <c r="D76" s="53">
        <f>17000/1000</f>
        <v>17</v>
      </c>
      <c r="E76" s="52" t="s">
        <v>76</v>
      </c>
      <c r="F76" s="50"/>
      <c r="G76" s="5"/>
      <c r="H76" s="5"/>
      <c r="I76" s="52" t="s">
        <v>76</v>
      </c>
      <c r="J76" s="53">
        <f>17000/1000</f>
        <v>17</v>
      </c>
      <c r="K76" s="49"/>
      <c r="M76" s="36"/>
    </row>
    <row r="77" spans="1:13" ht="21" customHeight="1" x14ac:dyDescent="0.25">
      <c r="A77" s="81"/>
      <c r="B77" s="65" t="s">
        <v>73</v>
      </c>
      <c r="C77" s="47"/>
      <c r="D77" s="53">
        <f>50400/1000</f>
        <v>50.4</v>
      </c>
      <c r="E77" s="52" t="s">
        <v>75</v>
      </c>
      <c r="F77" s="50"/>
      <c r="G77" s="5"/>
      <c r="H77" s="5"/>
      <c r="I77" s="52" t="s">
        <v>75</v>
      </c>
      <c r="J77" s="53">
        <f>50400/1000</f>
        <v>50.4</v>
      </c>
      <c r="K77" s="51"/>
      <c r="M77" s="36"/>
    </row>
    <row r="78" spans="1:13" ht="31.5" customHeight="1" x14ac:dyDescent="0.25">
      <c r="A78" s="81"/>
      <c r="B78" s="65" t="s">
        <v>79</v>
      </c>
      <c r="C78" s="47"/>
      <c r="D78" s="53">
        <f>398000/1000</f>
        <v>398</v>
      </c>
      <c r="E78" s="52" t="s">
        <v>80</v>
      </c>
      <c r="F78" s="50"/>
      <c r="G78" s="5"/>
      <c r="H78" s="5"/>
      <c r="I78" s="52" t="s">
        <v>80</v>
      </c>
      <c r="J78" s="53">
        <f>398000/1000</f>
        <v>398</v>
      </c>
      <c r="K78" s="49"/>
    </row>
    <row r="79" spans="1:13" ht="31.5" customHeight="1" x14ac:dyDescent="0.25">
      <c r="A79" s="81"/>
      <c r="B79" s="65" t="s">
        <v>81</v>
      </c>
      <c r="C79" s="47"/>
      <c r="D79" s="53">
        <f>13250/1000</f>
        <v>13.25</v>
      </c>
      <c r="E79" s="52" t="s">
        <v>84</v>
      </c>
      <c r="F79" s="50"/>
      <c r="G79" s="5"/>
      <c r="H79" s="5"/>
      <c r="I79" s="52" t="s">
        <v>84</v>
      </c>
      <c r="J79" s="53">
        <f>13250/1000</f>
        <v>13.25</v>
      </c>
      <c r="K79" s="49"/>
    </row>
    <row r="80" spans="1:13" ht="31.5" customHeight="1" x14ac:dyDescent="0.25">
      <c r="A80" s="81"/>
      <c r="B80" s="65" t="s">
        <v>82</v>
      </c>
      <c r="C80" s="47"/>
      <c r="D80" s="53">
        <f>50400/1000</f>
        <v>50.4</v>
      </c>
      <c r="E80" s="52" t="s">
        <v>83</v>
      </c>
      <c r="F80" s="50"/>
      <c r="G80" s="5"/>
      <c r="H80" s="5"/>
      <c r="I80" s="52" t="s">
        <v>83</v>
      </c>
      <c r="J80" s="53">
        <f>50400/1000</f>
        <v>50.4</v>
      </c>
      <c r="K80" s="49"/>
    </row>
    <row r="81" spans="1:11" ht="34.5" customHeight="1" x14ac:dyDescent="0.25">
      <c r="A81" s="81"/>
      <c r="B81" s="65" t="s">
        <v>85</v>
      </c>
      <c r="C81" s="47"/>
      <c r="D81" s="53">
        <f>12000/1000</f>
        <v>12</v>
      </c>
      <c r="E81" s="55" t="s">
        <v>86</v>
      </c>
      <c r="F81" s="50"/>
      <c r="G81" s="5"/>
      <c r="H81" s="5"/>
      <c r="I81" s="55" t="s">
        <v>86</v>
      </c>
      <c r="J81" s="53">
        <f>12000/1000</f>
        <v>12</v>
      </c>
      <c r="K81" s="51"/>
    </row>
    <row r="82" spans="1:11" ht="16.5" customHeight="1" x14ac:dyDescent="0.25">
      <c r="A82" s="81"/>
      <c r="B82" s="84" t="s">
        <v>87</v>
      </c>
      <c r="C82" s="81"/>
      <c r="D82" s="53">
        <f>3750/1000</f>
        <v>3.75</v>
      </c>
      <c r="E82" s="55" t="s">
        <v>88</v>
      </c>
      <c r="F82" s="50"/>
      <c r="G82" s="5"/>
      <c r="H82" s="5"/>
      <c r="I82" s="55" t="s">
        <v>88</v>
      </c>
      <c r="J82" s="53">
        <f>3750/1000</f>
        <v>3.75</v>
      </c>
      <c r="K82" s="51"/>
    </row>
    <row r="83" spans="1:11" ht="18" customHeight="1" x14ac:dyDescent="0.25">
      <c r="A83" s="81"/>
      <c r="B83" s="84"/>
      <c r="C83" s="81"/>
      <c r="D83" s="53">
        <f>19000/1000</f>
        <v>19</v>
      </c>
      <c r="E83" s="55" t="s">
        <v>89</v>
      </c>
      <c r="F83" s="50"/>
      <c r="G83" s="48"/>
      <c r="H83" s="48"/>
      <c r="I83" s="55" t="s">
        <v>89</v>
      </c>
      <c r="J83" s="53">
        <f>19000/1000</f>
        <v>19</v>
      </c>
      <c r="K83" s="50"/>
    </row>
    <row r="84" spans="1:11" ht="19.5" customHeight="1" x14ac:dyDescent="0.25">
      <c r="A84" s="81"/>
      <c r="B84" s="84" t="s">
        <v>90</v>
      </c>
      <c r="C84" s="80"/>
      <c r="D84" s="56">
        <f>732/1000</f>
        <v>0.73199999999999998</v>
      </c>
      <c r="E84" s="55" t="s">
        <v>91</v>
      </c>
      <c r="F84" s="50"/>
      <c r="G84" s="5"/>
      <c r="H84" s="78"/>
      <c r="I84" s="55" t="s">
        <v>91</v>
      </c>
      <c r="J84" s="56">
        <f>732/1000</f>
        <v>0.73199999999999998</v>
      </c>
      <c r="K84" s="51"/>
    </row>
    <row r="85" spans="1:11" ht="33.75" customHeight="1" x14ac:dyDescent="0.25">
      <c r="A85" s="81"/>
      <c r="B85" s="84"/>
      <c r="C85" s="80"/>
      <c r="D85" s="56">
        <f>680/1000</f>
        <v>0.68</v>
      </c>
      <c r="E85" s="55" t="s">
        <v>92</v>
      </c>
      <c r="F85" s="50"/>
      <c r="G85" s="5"/>
      <c r="H85" s="78"/>
      <c r="I85" s="55" t="s">
        <v>92</v>
      </c>
      <c r="J85" s="56">
        <f>680/1000</f>
        <v>0.68</v>
      </c>
      <c r="K85" s="51"/>
    </row>
    <row r="86" spans="1:11" ht="49.5" customHeight="1" x14ac:dyDescent="0.25">
      <c r="A86" s="81"/>
      <c r="B86" s="84"/>
      <c r="C86" s="80"/>
      <c r="D86" s="53">
        <f>5685.41/1000</f>
        <v>5.6854100000000001</v>
      </c>
      <c r="E86" s="57" t="s">
        <v>120</v>
      </c>
      <c r="F86" s="50"/>
      <c r="G86" s="48"/>
      <c r="H86" s="78"/>
      <c r="I86" s="57" t="s">
        <v>120</v>
      </c>
      <c r="J86" s="53">
        <f>5685.41/1000</f>
        <v>5.6854100000000001</v>
      </c>
      <c r="K86" s="50"/>
    </row>
    <row r="87" spans="1:11" ht="30" customHeight="1" x14ac:dyDescent="0.25">
      <c r="A87" s="81"/>
      <c r="B87" s="68" t="s">
        <v>29</v>
      </c>
      <c r="C87" s="80"/>
      <c r="D87" s="56">
        <f>75000/1000</f>
        <v>75</v>
      </c>
      <c r="E87" s="58" t="s">
        <v>93</v>
      </c>
      <c r="F87" s="50"/>
      <c r="G87" s="5"/>
      <c r="H87" s="78"/>
      <c r="I87" s="58" t="s">
        <v>93</v>
      </c>
      <c r="J87" s="56">
        <f>75000/1000</f>
        <v>75</v>
      </c>
      <c r="K87" s="51"/>
    </row>
    <row r="88" spans="1:11" ht="30" customHeight="1" x14ac:dyDescent="0.25">
      <c r="A88" s="81"/>
      <c r="B88" s="76" t="s">
        <v>29</v>
      </c>
      <c r="C88" s="80"/>
      <c r="D88" s="56">
        <f>270/1000</f>
        <v>0.27</v>
      </c>
      <c r="E88" s="59" t="s">
        <v>94</v>
      </c>
      <c r="F88" s="50"/>
      <c r="G88" s="5"/>
      <c r="H88" s="78"/>
      <c r="I88" s="59" t="s">
        <v>94</v>
      </c>
      <c r="J88" s="56">
        <f>270/1000</f>
        <v>0.27</v>
      </c>
      <c r="K88" s="51"/>
    </row>
    <row r="89" spans="1:11" ht="18" customHeight="1" x14ac:dyDescent="0.25">
      <c r="A89" s="81"/>
      <c r="B89" s="76"/>
      <c r="C89" s="80"/>
      <c r="D89" s="56">
        <f>3.6</f>
        <v>3.6</v>
      </c>
      <c r="E89" s="59" t="s">
        <v>95</v>
      </c>
      <c r="F89" s="50"/>
      <c r="G89" s="5"/>
      <c r="H89" s="78"/>
      <c r="I89" s="59" t="s">
        <v>95</v>
      </c>
      <c r="J89" s="56">
        <f>3.6</f>
        <v>3.6</v>
      </c>
      <c r="K89" s="51"/>
    </row>
    <row r="90" spans="1:11" ht="18" customHeight="1" x14ac:dyDescent="0.25">
      <c r="A90" s="81"/>
      <c r="B90" s="76"/>
      <c r="C90" s="80"/>
      <c r="D90" s="56">
        <f>400/1000</f>
        <v>0.4</v>
      </c>
      <c r="E90" s="59" t="s">
        <v>121</v>
      </c>
      <c r="F90" s="50"/>
      <c r="G90" s="5"/>
      <c r="H90" s="78"/>
      <c r="I90" s="59" t="s">
        <v>121</v>
      </c>
      <c r="J90" s="56">
        <f>400/1000</f>
        <v>0.4</v>
      </c>
      <c r="K90" s="51"/>
    </row>
    <row r="91" spans="1:11" ht="30.75" customHeight="1" x14ac:dyDescent="0.25">
      <c r="A91" s="81"/>
      <c r="B91" s="76"/>
      <c r="C91" s="80"/>
      <c r="D91" s="56">
        <f>11250/1000</f>
        <v>11.25</v>
      </c>
      <c r="E91" s="59" t="s">
        <v>96</v>
      </c>
      <c r="F91" s="50"/>
      <c r="G91" s="5"/>
      <c r="H91" s="78"/>
      <c r="I91" s="59" t="s">
        <v>96</v>
      </c>
      <c r="J91" s="56">
        <f>11250/1000</f>
        <v>11.25</v>
      </c>
      <c r="K91" s="51"/>
    </row>
    <row r="92" spans="1:11" ht="33" customHeight="1" x14ac:dyDescent="0.25">
      <c r="A92" s="81"/>
      <c r="B92" s="76"/>
      <c r="C92" s="80"/>
      <c r="D92" s="56">
        <v>6.5</v>
      </c>
      <c r="E92" s="60" t="s">
        <v>97</v>
      </c>
      <c r="F92" s="9"/>
      <c r="G92" s="5"/>
      <c r="H92" s="78"/>
      <c r="I92" s="60" t="s">
        <v>97</v>
      </c>
      <c r="J92" s="56">
        <v>6.5</v>
      </c>
      <c r="K92" s="6"/>
    </row>
    <row r="93" spans="1:11" ht="30.75" customHeight="1" x14ac:dyDescent="0.25">
      <c r="A93" s="81"/>
      <c r="B93" s="76"/>
      <c r="C93" s="80"/>
      <c r="D93" s="56">
        <f>6500/1000</f>
        <v>6.5</v>
      </c>
      <c r="E93" s="59" t="s">
        <v>98</v>
      </c>
      <c r="F93" s="9"/>
      <c r="G93" s="5"/>
      <c r="H93" s="78"/>
      <c r="I93" s="59" t="s">
        <v>98</v>
      </c>
      <c r="J93" s="56">
        <f>6500/1000</f>
        <v>6.5</v>
      </c>
      <c r="K93" s="6"/>
    </row>
    <row r="94" spans="1:11" ht="46.5" customHeight="1" x14ac:dyDescent="0.25">
      <c r="A94" s="81"/>
      <c r="B94" s="76"/>
      <c r="C94" s="80"/>
      <c r="D94" s="53">
        <f>18696/1000</f>
        <v>18.696000000000002</v>
      </c>
      <c r="E94" s="59" t="s">
        <v>99</v>
      </c>
      <c r="F94" s="9"/>
      <c r="G94" s="5"/>
      <c r="H94" s="78"/>
      <c r="I94" s="59" t="s">
        <v>99</v>
      </c>
      <c r="J94" s="53">
        <f>18696/1000</f>
        <v>18.696000000000002</v>
      </c>
      <c r="K94" s="9"/>
    </row>
    <row r="95" spans="1:11" ht="44.25" customHeight="1" x14ac:dyDescent="0.25">
      <c r="A95" s="81"/>
      <c r="B95" s="76"/>
      <c r="C95" s="80"/>
      <c r="D95" s="53">
        <f t="shared" ref="D95:D96" si="0">18696/1000</f>
        <v>18.696000000000002</v>
      </c>
      <c r="E95" s="59" t="s">
        <v>100</v>
      </c>
      <c r="F95" s="9"/>
      <c r="G95" s="5"/>
      <c r="H95" s="78"/>
      <c r="I95" s="59" t="s">
        <v>100</v>
      </c>
      <c r="J95" s="53">
        <f t="shared" ref="J95:J96" si="1">18696/1000</f>
        <v>18.696000000000002</v>
      </c>
      <c r="K95" s="6"/>
    </row>
    <row r="96" spans="1:11" ht="47.25" customHeight="1" x14ac:dyDescent="0.25">
      <c r="A96" s="81"/>
      <c r="B96" s="76"/>
      <c r="C96" s="80"/>
      <c r="D96" s="53">
        <f t="shared" si="0"/>
        <v>18.696000000000002</v>
      </c>
      <c r="E96" s="59" t="s">
        <v>101</v>
      </c>
      <c r="F96" s="9"/>
      <c r="G96" s="5"/>
      <c r="H96" s="78"/>
      <c r="I96" s="59" t="s">
        <v>101</v>
      </c>
      <c r="J96" s="53">
        <f t="shared" si="1"/>
        <v>18.696000000000002</v>
      </c>
      <c r="K96" s="6"/>
    </row>
    <row r="97" spans="1:12" ht="17.25" customHeight="1" x14ac:dyDescent="0.25">
      <c r="A97" s="81"/>
      <c r="B97" s="76"/>
      <c r="C97" s="80"/>
      <c r="D97" s="56">
        <v>14</v>
      </c>
      <c r="E97" s="59" t="s">
        <v>102</v>
      </c>
      <c r="F97" s="9"/>
      <c r="G97" s="5"/>
      <c r="H97" s="78"/>
      <c r="I97" s="59" t="s">
        <v>102</v>
      </c>
      <c r="J97" s="56">
        <v>14</v>
      </c>
      <c r="K97" s="6"/>
    </row>
    <row r="98" spans="1:12" ht="18" customHeight="1" x14ac:dyDescent="0.25">
      <c r="A98" s="81"/>
      <c r="B98" s="76"/>
      <c r="C98" s="80"/>
      <c r="D98" s="56">
        <f>11000/1000</f>
        <v>11</v>
      </c>
      <c r="E98" s="59" t="s">
        <v>103</v>
      </c>
      <c r="F98" s="9"/>
      <c r="G98" s="5"/>
      <c r="H98" s="78"/>
      <c r="I98" s="59" t="s">
        <v>103</v>
      </c>
      <c r="J98" s="56">
        <f>11000/1000</f>
        <v>11</v>
      </c>
      <c r="K98" s="6"/>
    </row>
    <row r="99" spans="1:12" ht="22.5" customHeight="1" x14ac:dyDescent="0.25">
      <c r="A99" s="81"/>
      <c r="B99" s="85" t="s">
        <v>105</v>
      </c>
      <c r="C99" s="81"/>
      <c r="D99" s="56">
        <f>24160.8/1000</f>
        <v>24.160799999999998</v>
      </c>
      <c r="E99" s="59" t="s">
        <v>104</v>
      </c>
      <c r="F99" s="9"/>
      <c r="G99" s="5"/>
      <c r="H99" s="78"/>
      <c r="I99" s="59" t="s">
        <v>104</v>
      </c>
      <c r="J99" s="56">
        <f>24160.8/1000</f>
        <v>24.160799999999998</v>
      </c>
      <c r="K99" s="6"/>
    </row>
    <row r="100" spans="1:12" ht="38.25" customHeight="1" x14ac:dyDescent="0.25">
      <c r="A100" s="81"/>
      <c r="B100" s="85"/>
      <c r="C100" s="81"/>
      <c r="D100" s="53">
        <v>25.9</v>
      </c>
      <c r="E100" s="59" t="s">
        <v>113</v>
      </c>
      <c r="F100" s="9"/>
      <c r="G100" s="5"/>
      <c r="H100" s="78"/>
      <c r="I100" s="59" t="s">
        <v>113</v>
      </c>
      <c r="J100" s="53">
        <v>25.9</v>
      </c>
      <c r="K100" s="9"/>
    </row>
    <row r="101" spans="1:12" ht="32.25" customHeight="1" x14ac:dyDescent="0.25">
      <c r="A101" s="81"/>
      <c r="B101" s="85"/>
      <c r="C101" s="81"/>
      <c r="D101" s="53">
        <f>2630/1000</f>
        <v>2.63</v>
      </c>
      <c r="E101" s="59" t="s">
        <v>116</v>
      </c>
      <c r="F101" s="9"/>
      <c r="G101" s="5"/>
      <c r="H101" s="78"/>
      <c r="I101" s="59" t="s">
        <v>116</v>
      </c>
      <c r="J101" s="53">
        <f>2630/1000</f>
        <v>2.63</v>
      </c>
      <c r="K101" s="9"/>
    </row>
    <row r="102" spans="1:12" ht="27.75" customHeight="1" x14ac:dyDescent="0.25">
      <c r="A102" s="81"/>
      <c r="B102" s="85"/>
      <c r="C102" s="81"/>
      <c r="D102" s="53">
        <f>15225/1000</f>
        <v>15.225</v>
      </c>
      <c r="E102" s="59" t="s">
        <v>106</v>
      </c>
      <c r="F102" s="9"/>
      <c r="G102" s="5"/>
      <c r="H102" s="78"/>
      <c r="I102" s="59" t="s">
        <v>106</v>
      </c>
      <c r="J102" s="53">
        <f>15225/1000</f>
        <v>15.225</v>
      </c>
      <c r="K102" s="9"/>
    </row>
    <row r="103" spans="1:12" ht="27.75" customHeight="1" x14ac:dyDescent="0.25">
      <c r="A103" s="81"/>
      <c r="B103" s="85"/>
      <c r="C103" s="81"/>
      <c r="D103" s="53">
        <f>7386.5/1000</f>
        <v>7.3864999999999998</v>
      </c>
      <c r="E103" s="59" t="s">
        <v>107</v>
      </c>
      <c r="F103" s="9"/>
      <c r="G103" s="5"/>
      <c r="H103" s="78"/>
      <c r="I103" s="59" t="s">
        <v>107</v>
      </c>
      <c r="J103" s="53">
        <f>7386.5/1000</f>
        <v>7.3864999999999998</v>
      </c>
      <c r="K103" s="9"/>
    </row>
    <row r="104" spans="1:12" ht="31.5" customHeight="1" x14ac:dyDescent="0.25">
      <c r="A104" s="81"/>
      <c r="B104" s="85"/>
      <c r="C104" s="81"/>
      <c r="D104" s="53">
        <f>4717.4/1000</f>
        <v>4.7173999999999996</v>
      </c>
      <c r="E104" s="59" t="s">
        <v>114</v>
      </c>
      <c r="F104" s="9"/>
      <c r="G104" s="5"/>
      <c r="H104" s="78"/>
      <c r="I104" s="59" t="s">
        <v>114</v>
      </c>
      <c r="J104" s="53">
        <f>4717.4/1000</f>
        <v>4.7173999999999996</v>
      </c>
      <c r="K104" s="9"/>
    </row>
    <row r="105" spans="1:12" ht="27.75" customHeight="1" x14ac:dyDescent="0.25">
      <c r="A105" s="81"/>
      <c r="B105" s="83" t="s">
        <v>108</v>
      </c>
      <c r="C105" s="81"/>
      <c r="D105" s="53">
        <f>1500000/1000</f>
        <v>1500</v>
      </c>
      <c r="E105" s="61" t="s">
        <v>109</v>
      </c>
      <c r="F105" s="9"/>
      <c r="G105" s="5"/>
      <c r="H105" s="8"/>
      <c r="I105" s="61" t="s">
        <v>109</v>
      </c>
      <c r="J105" s="53">
        <f>1500000/1000</f>
        <v>1500</v>
      </c>
      <c r="K105" s="9"/>
    </row>
    <row r="106" spans="1:12" ht="31.5" customHeight="1" x14ac:dyDescent="0.25">
      <c r="A106" s="81"/>
      <c r="B106" s="83"/>
      <c r="C106" s="81"/>
      <c r="D106" s="53">
        <f>34000/1000</f>
        <v>34</v>
      </c>
      <c r="E106" s="59" t="s">
        <v>110</v>
      </c>
      <c r="F106" s="9"/>
      <c r="G106" s="5"/>
      <c r="H106" s="8"/>
      <c r="I106" s="59" t="s">
        <v>110</v>
      </c>
      <c r="J106" s="53">
        <f>34000/1000</f>
        <v>34</v>
      </c>
      <c r="K106" s="9"/>
    </row>
    <row r="107" spans="1:12" ht="36" customHeight="1" x14ac:dyDescent="0.25">
      <c r="A107" s="81"/>
      <c r="B107" s="66" t="s">
        <v>111</v>
      </c>
      <c r="C107" s="47"/>
      <c r="D107" s="53">
        <f>1372.32/1000</f>
        <v>1.37232</v>
      </c>
      <c r="E107" s="59" t="s">
        <v>112</v>
      </c>
      <c r="F107" s="9"/>
      <c r="G107" s="5"/>
      <c r="H107" s="8"/>
      <c r="I107" s="59" t="s">
        <v>112</v>
      </c>
      <c r="J107" s="53">
        <f>1372.32/1000</f>
        <v>1.37232</v>
      </c>
      <c r="K107" s="9"/>
    </row>
    <row r="108" spans="1:12" ht="27.75" customHeight="1" x14ac:dyDescent="0.25">
      <c r="A108" s="81"/>
      <c r="B108" s="69" t="s">
        <v>28</v>
      </c>
      <c r="C108" s="47"/>
      <c r="D108" s="53">
        <f>60000/1000</f>
        <v>60</v>
      </c>
      <c r="E108" s="59" t="s">
        <v>115</v>
      </c>
      <c r="F108" s="9"/>
      <c r="G108" s="5"/>
      <c r="H108" s="8"/>
      <c r="I108" s="59" t="s">
        <v>115</v>
      </c>
      <c r="J108" s="53">
        <f>60000/1000</f>
        <v>60</v>
      </c>
      <c r="K108" s="9"/>
    </row>
    <row r="109" spans="1:12" ht="16.5" customHeight="1" x14ac:dyDescent="0.25">
      <c r="A109" s="82" t="s">
        <v>117</v>
      </c>
      <c r="B109" s="82"/>
      <c r="C109" s="82"/>
      <c r="D109" s="30">
        <f>D108+D107+D106+D105+D104+D103+D102+D101+D100+D99+D98+D97+D96+D95+D94+D93+D92+D91+D90+D89+D88+D87+D86+D85+D84+D83+D81+D80+D82+D79+D78+D76+D77+D75+D74+D73+D46</f>
        <v>2734.5488800000007</v>
      </c>
      <c r="E109" s="27"/>
      <c r="F109" s="17"/>
      <c r="G109" s="31"/>
      <c r="H109" s="31"/>
      <c r="I109" s="32"/>
      <c r="J109" s="20">
        <f>D109</f>
        <v>2734.5488800000007</v>
      </c>
      <c r="K109" s="17"/>
      <c r="L109" s="37"/>
    </row>
    <row r="110" spans="1:12" x14ac:dyDescent="0.25">
      <c r="C110" s="11"/>
      <c r="D110" s="13"/>
      <c r="E110" s="11"/>
      <c r="F110" s="11"/>
      <c r="G110" s="11"/>
      <c r="H110" s="11"/>
      <c r="I110" s="11"/>
      <c r="J110" s="11"/>
      <c r="K110" s="34"/>
    </row>
    <row r="111" spans="1:12" ht="15.75" x14ac:dyDescent="0.25">
      <c r="B111" s="24" t="s">
        <v>122</v>
      </c>
      <c r="C111" s="24"/>
      <c r="D111" s="25"/>
      <c r="E111" s="26" t="s">
        <v>123</v>
      </c>
    </row>
    <row r="112" spans="1:12" ht="15.75" x14ac:dyDescent="0.25">
      <c r="B112" s="24"/>
      <c r="C112" s="24"/>
      <c r="D112" s="25"/>
      <c r="E112" s="26"/>
    </row>
    <row r="113" spans="2:5" ht="15.75" x14ac:dyDescent="0.25">
      <c r="B113" s="24" t="s">
        <v>25</v>
      </c>
      <c r="C113" s="24"/>
      <c r="D113" s="25"/>
      <c r="E113" s="26" t="s">
        <v>24</v>
      </c>
    </row>
    <row r="114" spans="2:5" ht="15.75" x14ac:dyDescent="0.25">
      <c r="B114" s="10"/>
      <c r="C114" s="10"/>
      <c r="D114" s="14"/>
      <c r="E114" s="10"/>
    </row>
    <row r="117" spans="2:5" x14ac:dyDescent="0.25">
      <c r="E117" s="1"/>
    </row>
    <row r="118" spans="2:5" x14ac:dyDescent="0.25">
      <c r="E118" s="2"/>
    </row>
    <row r="119" spans="2:5" x14ac:dyDescent="0.25">
      <c r="E119" s="2"/>
    </row>
    <row r="120" spans="2:5" x14ac:dyDescent="0.25">
      <c r="E120" s="3"/>
    </row>
    <row r="121" spans="2:5" x14ac:dyDescent="0.25">
      <c r="E121" s="1"/>
    </row>
  </sheetData>
  <mergeCells count="43">
    <mergeCell ref="A6:K6"/>
    <mergeCell ref="A1:K1"/>
    <mergeCell ref="A2:K2"/>
    <mergeCell ref="A3:K3"/>
    <mergeCell ref="A4:K4"/>
    <mergeCell ref="A5:K5"/>
    <mergeCell ref="J14:J16"/>
    <mergeCell ref="A7:K7"/>
    <mergeCell ref="A8:K8"/>
    <mergeCell ref="A9:K9"/>
    <mergeCell ref="A10:A16"/>
    <mergeCell ref="B10:B16"/>
    <mergeCell ref="C10:E13"/>
    <mergeCell ref="F10:F16"/>
    <mergeCell ref="G10:J13"/>
    <mergeCell ref="K10:K16"/>
    <mergeCell ref="C14:C16"/>
    <mergeCell ref="D14:D16"/>
    <mergeCell ref="E14:E16"/>
    <mergeCell ref="G14:G16"/>
    <mergeCell ref="H14:H16"/>
    <mergeCell ref="I14:I16"/>
    <mergeCell ref="H99:H104"/>
    <mergeCell ref="H87:H98"/>
    <mergeCell ref="H47:H72"/>
    <mergeCell ref="A109:C109"/>
    <mergeCell ref="A17:A108"/>
    <mergeCell ref="B17:B45"/>
    <mergeCell ref="B105:B106"/>
    <mergeCell ref="B82:B83"/>
    <mergeCell ref="B84:B86"/>
    <mergeCell ref="C84:C86"/>
    <mergeCell ref="B99:B104"/>
    <mergeCell ref="C105:C106"/>
    <mergeCell ref="C99:C104"/>
    <mergeCell ref="B88:B98"/>
    <mergeCell ref="H17:H45"/>
    <mergeCell ref="H84:H86"/>
    <mergeCell ref="B47:B50"/>
    <mergeCell ref="B51:B72"/>
    <mergeCell ref="C87:C98"/>
    <mergeCell ref="C82:C83"/>
    <mergeCell ref="C47:C7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2020-08-12T06:35:22Z</dcterms:modified>
</cp:coreProperties>
</file>